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S\OPS Accounting Dropbox\Ted Galatsianos\Firm Folders\Worksheets\"/>
    </mc:Choice>
  </mc:AlternateContent>
  <xr:revisionPtr revIDLastSave="0" documentId="8_{B8B30A55-88F2-4F02-8ADE-699932CAF039}" xr6:coauthVersionLast="46" xr6:coauthVersionMax="46" xr10:uidLastSave="{00000000-0000-0000-0000-000000000000}"/>
  <bookViews>
    <workbookView xWindow="-108" yWindow="-108" windowWidth="23256" windowHeight="12576" xr2:uid="{557A0646-C23F-4997-BC49-73D51DE0AE56}"/>
  </bookViews>
  <sheets>
    <sheet name="3Q Assumptions ERCwPPP" sheetId="13" r:id="rId1"/>
    <sheet name="3Q2020 ERCwPPP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2" l="1"/>
  <c r="J15" i="12"/>
  <c r="J18" i="12"/>
  <c r="J20" i="12"/>
  <c r="J21" i="12"/>
  <c r="D14" i="13"/>
  <c r="C14" i="13"/>
  <c r="C12" i="13"/>
  <c r="L21" i="12"/>
  <c r="I14" i="12"/>
  <c r="D12" i="13"/>
  <c r="D13" i="13"/>
  <c r="C11" i="13"/>
  <c r="B4" i="13"/>
  <c r="H21" i="12"/>
  <c r="G21" i="12"/>
  <c r="P21" i="12" s="1"/>
  <c r="H20" i="12"/>
  <c r="G20" i="12"/>
  <c r="N20" i="12" s="1"/>
  <c r="H19" i="12"/>
  <c r="G19" i="12"/>
  <c r="O19" i="12" s="1"/>
  <c r="H18" i="12"/>
  <c r="G18" i="12"/>
  <c r="H17" i="12"/>
  <c r="G17" i="12"/>
  <c r="N17" i="12" s="1"/>
  <c r="H16" i="12"/>
  <c r="G16" i="12"/>
  <c r="I16" i="12" s="1"/>
  <c r="H15" i="12"/>
  <c r="G15" i="12"/>
  <c r="P15" i="12" s="1"/>
  <c r="P14" i="12"/>
  <c r="H14" i="12"/>
  <c r="G14" i="12"/>
  <c r="M14" i="12" s="1"/>
  <c r="H13" i="12"/>
  <c r="G13" i="12"/>
  <c r="P13" i="12" s="1"/>
  <c r="B7" i="12"/>
  <c r="B10" i="12" s="1"/>
  <c r="L15" i="12" s="1"/>
  <c r="L23" i="12" s="1"/>
  <c r="B6" i="12"/>
  <c r="M19" i="12" l="1"/>
  <c r="I19" i="12"/>
  <c r="K19" i="12" s="1"/>
  <c r="I13" i="12"/>
  <c r="P19" i="12"/>
  <c r="Q19" i="12" s="1"/>
  <c r="K16" i="12"/>
  <c r="J16" i="12"/>
  <c r="O17" i="12"/>
  <c r="P17" i="12"/>
  <c r="I17" i="12"/>
  <c r="J17" i="12" s="1"/>
  <c r="M13" i="12"/>
  <c r="N15" i="12"/>
  <c r="M20" i="12"/>
  <c r="P20" i="12"/>
  <c r="H23" i="12"/>
  <c r="M21" i="12"/>
  <c r="N13" i="12"/>
  <c r="O13" i="12"/>
  <c r="N14" i="12"/>
  <c r="M17" i="12"/>
  <c r="N19" i="12"/>
  <c r="M15" i="12"/>
  <c r="O20" i="12"/>
  <c r="M18" i="12"/>
  <c r="N18" i="12"/>
  <c r="Q18" i="12" s="1"/>
  <c r="O14" i="12"/>
  <c r="C4" i="13"/>
  <c r="D11" i="13"/>
  <c r="G23" i="12"/>
  <c r="B28" i="12" s="1"/>
  <c r="O18" i="12"/>
  <c r="P18" i="12"/>
  <c r="M16" i="12"/>
  <c r="N16" i="12"/>
  <c r="O16" i="12"/>
  <c r="P16" i="12"/>
  <c r="N21" i="12"/>
  <c r="O15" i="12"/>
  <c r="O21" i="12"/>
  <c r="Q20" i="12" l="1"/>
  <c r="P23" i="12"/>
  <c r="K13" i="12"/>
  <c r="K14" i="12" s="1"/>
  <c r="K15" i="12" s="1"/>
  <c r="J13" i="12"/>
  <c r="Q17" i="12"/>
  <c r="J19" i="12"/>
  <c r="J23" i="12" s="1"/>
  <c r="B39" i="12" s="1"/>
  <c r="Q14" i="12"/>
  <c r="K20" i="12"/>
  <c r="K21" i="12" s="1"/>
  <c r="Q13" i="12"/>
  <c r="Q23" i="12" s="1"/>
  <c r="Q15" i="12"/>
  <c r="K17" i="12"/>
  <c r="K18" i="12" s="1"/>
  <c r="Q16" i="12"/>
  <c r="N23" i="12"/>
  <c r="B30" i="12" s="1"/>
  <c r="B36" i="12" s="1"/>
  <c r="B37" i="12" s="1"/>
  <c r="Q21" i="12"/>
  <c r="C8" i="13"/>
  <c r="D4" i="13"/>
  <c r="M23" i="12"/>
  <c r="B29" i="12" s="1"/>
  <c r="I23" i="12"/>
  <c r="B35" i="12" s="1"/>
  <c r="O23" i="12"/>
  <c r="B31" i="12" s="1"/>
  <c r="B33" i="12" l="1"/>
  <c r="D8" i="13"/>
  <c r="D15" i="13" s="1"/>
  <c r="D17" i="13" s="1"/>
  <c r="B41" i="12"/>
  <c r="B40" i="12"/>
  <c r="B38" i="12"/>
  <c r="C17" i="13" l="1"/>
  <c r="C15" i="13"/>
</calcChain>
</file>

<file path=xl/sharedStrings.xml><?xml version="1.0" encoding="utf-8"?>
<sst xmlns="http://schemas.openxmlformats.org/spreadsheetml/2006/main" count="100" uniqueCount="62">
  <si>
    <t>PPP Funds</t>
  </si>
  <si>
    <t>Month PPP Utilization</t>
  </si>
  <si>
    <t>Quarterly</t>
  </si>
  <si>
    <t>Payroll</t>
  </si>
  <si>
    <t>Non-Payroll</t>
  </si>
  <si>
    <t>Monthly Payroll</t>
  </si>
  <si>
    <t>ERC Credit Available</t>
  </si>
  <si>
    <t>ERC Qualifying Wages</t>
  </si>
  <si>
    <t>Acme Corporation</t>
  </si>
  <si>
    <t>Payroll Summary Recap</t>
  </si>
  <si>
    <t>ERC Wages</t>
  </si>
  <si>
    <t>ERC Credit</t>
  </si>
  <si>
    <t>Name</t>
  </si>
  <si>
    <t>Salary</t>
  </si>
  <si>
    <t>Pay Frequency</t>
  </si>
  <si>
    <t>Check Date</t>
  </si>
  <si>
    <t>Month</t>
  </si>
  <si>
    <t>Gross Wages</t>
  </si>
  <si>
    <t>FWT</t>
  </si>
  <si>
    <t>Fica</t>
  </si>
  <si>
    <t>Med</t>
  </si>
  <si>
    <t>State</t>
  </si>
  <si>
    <t>Net</t>
  </si>
  <si>
    <t>Doe, John</t>
  </si>
  <si>
    <t>Semi-Monthly</t>
  </si>
  <si>
    <t>January</t>
  </si>
  <si>
    <t>Scmitt, Ann</t>
  </si>
  <si>
    <t>Smith, Joe</t>
  </si>
  <si>
    <t>Total</t>
  </si>
  <si>
    <t xml:space="preserve"> </t>
  </si>
  <si>
    <t>941 Worksheet</t>
  </si>
  <si>
    <t>Wages</t>
  </si>
  <si>
    <t>Federal W/H</t>
  </si>
  <si>
    <t>FICA</t>
  </si>
  <si>
    <t>Medicare</t>
  </si>
  <si>
    <t>Total Taxes</t>
  </si>
  <si>
    <t>Qualifying Wages for ERC</t>
  </si>
  <si>
    <t>50% FICA (non-refundable)</t>
  </si>
  <si>
    <t>50% Qualifying Wages (refundable)</t>
  </si>
  <si>
    <t>Refund Due</t>
  </si>
  <si>
    <t>Recovery (mos)</t>
  </si>
  <si>
    <t>No of employees</t>
  </si>
  <si>
    <t>Qualifying Wages after PPP</t>
  </si>
  <si>
    <t>No of Employees</t>
  </si>
  <si>
    <t>February</t>
  </si>
  <si>
    <t>March</t>
  </si>
  <si>
    <t>Monthly</t>
  </si>
  <si>
    <t>Full Amount</t>
  </si>
  <si>
    <t>$1000/mo</t>
  </si>
  <si>
    <t>Qualified Health Plan</t>
  </si>
  <si>
    <t>Qualfied health plan</t>
  </si>
  <si>
    <t>Qualified Health</t>
  </si>
  <si>
    <t>Part 3 21</t>
  </si>
  <si>
    <t>Part 1 11c</t>
  </si>
  <si>
    <t>Part 1 13d</t>
  </si>
  <si>
    <t>(Paid)</t>
  </si>
  <si>
    <t>Q3 2020</t>
  </si>
  <si>
    <t>PPP Loan</t>
  </si>
  <si>
    <t>Q</t>
  </si>
  <si>
    <t>ERC w/PPP Wages per EE</t>
  </si>
  <si>
    <t>Remaining Q ERC</t>
  </si>
  <si>
    <t>Remaining Total 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</si>
</sst>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3" fillId="0" borderId="0" xfId="0" applyFont="1"/>
    <xf numFmtId="44" fontId="0" fillId="0" borderId="0" xfId="2" applyFont="1"/>
    <xf numFmtId="0" fontId="4" fillId="0" borderId="0" xfId="0" applyFont="1"/>
    <xf numFmtId="0" fontId="5" fillId="0" borderId="0" xfId="0" applyFont="1"/>
    <xf numFmtId="44" fontId="0" fillId="0" borderId="0" xfId="0" applyNumberFormat="1"/>
    <xf numFmtId="43" fontId="0" fillId="0" borderId="0" xfId="0" applyNumberFormat="1"/>
    <xf numFmtId="44" fontId="0" fillId="0" borderId="1" xfId="0" applyNumberFormat="1" applyBorder="1"/>
    <xf numFmtId="0" fontId="0" fillId="4" borderId="0" xfId="0" applyFill="1"/>
    <xf numFmtId="43" fontId="0" fillId="4" borderId="0" xfId="0" applyNumberFormat="1" applyFill="1"/>
    <xf numFmtId="44" fontId="0" fillId="0" borderId="0" xfId="2" applyFont="1" applyBorder="1"/>
    <xf numFmtId="14" fontId="0" fillId="0" borderId="0" xfId="0" applyNumberFormat="1" applyBorder="1"/>
    <xf numFmtId="14" fontId="0" fillId="3" borderId="0" xfId="0" quotePrefix="1" applyNumberFormat="1" applyFill="1" applyBorder="1"/>
    <xf numFmtId="0" fontId="0" fillId="3" borderId="0" xfId="0" applyFill="1" applyBorder="1"/>
    <xf numFmtId="0" fontId="0" fillId="0" borderId="0" xfId="0" applyBorder="1"/>
    <xf numFmtId="14" fontId="0" fillId="0" borderId="0" xfId="0" quotePrefix="1" applyNumberFormat="1" applyBorder="1"/>
    <xf numFmtId="6" fontId="0" fillId="0" borderId="0" xfId="0" applyNumberFormat="1"/>
    <xf numFmtId="9" fontId="0" fillId="0" borderId="0" xfId="3" applyFont="1"/>
    <xf numFmtId="0" fontId="0" fillId="0" borderId="1" xfId="0" applyBorder="1"/>
    <xf numFmtId="43" fontId="0" fillId="0" borderId="2" xfId="1" applyFont="1" applyBorder="1"/>
    <xf numFmtId="43" fontId="0" fillId="0" borderId="0" xfId="1" applyFont="1" applyBorder="1"/>
    <xf numFmtId="43" fontId="0" fillId="2" borderId="0" xfId="1" applyFont="1" applyFill="1" applyBorder="1"/>
    <xf numFmtId="9" fontId="0" fillId="0" borderId="0" xfId="1" applyNumberFormat="1" applyFont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/>
    <xf numFmtId="44" fontId="0" fillId="0" borderId="2" xfId="0" applyNumberFormat="1" applyBorder="1"/>
    <xf numFmtId="0" fontId="0" fillId="0" borderId="5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43" fontId="0" fillId="0" borderId="11" xfId="1" applyFont="1" applyBorder="1"/>
    <xf numFmtId="43" fontId="0" fillId="0" borderId="4" xfId="1" applyFont="1" applyBorder="1"/>
    <xf numFmtId="43" fontId="0" fillId="0" borderId="12" xfId="1" applyFont="1" applyBorder="1"/>
    <xf numFmtId="43" fontId="0" fillId="0" borderId="13" xfId="1" applyFont="1" applyBorder="1"/>
    <xf numFmtId="43" fontId="1" fillId="0" borderId="6" xfId="1" applyFont="1" applyBorder="1"/>
    <xf numFmtId="43" fontId="1" fillId="0" borderId="7" xfId="1" applyFont="1" applyBorder="1"/>
    <xf numFmtId="43" fontId="0" fillId="0" borderId="6" xfId="1" applyFont="1" applyBorder="1"/>
    <xf numFmtId="43" fontId="0" fillId="0" borderId="7" xfId="1" applyFont="1" applyBorder="1"/>
    <xf numFmtId="43" fontId="0" fillId="2" borderId="9" xfId="1" applyFont="1" applyFill="1" applyBorder="1"/>
    <xf numFmtId="0" fontId="0" fillId="0" borderId="4" xfId="0" applyBorder="1"/>
    <xf numFmtId="43" fontId="0" fillId="0" borderId="4" xfId="0" applyNumberFormat="1" applyBorder="1"/>
    <xf numFmtId="44" fontId="0" fillId="3" borderId="0" xfId="2" applyNumberFormat="1" applyFont="1" applyFill="1" applyBorder="1"/>
    <xf numFmtId="44" fontId="0" fillId="3" borderId="0" xfId="1" applyNumberFormat="1" applyFont="1" applyFill="1" applyBorder="1"/>
    <xf numFmtId="44" fontId="0" fillId="3" borderId="3" xfId="2" applyNumberFormat="1" applyFont="1" applyFill="1" applyBorder="1"/>
    <xf numFmtId="44" fontId="0" fillId="3" borderId="3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F144-07CD-40F1-A8CF-F12006D57FC5}">
  <dimension ref="A1:E24"/>
  <sheetViews>
    <sheetView tabSelected="1" workbookViewId="0">
      <selection activeCell="J19" sqref="J19"/>
    </sheetView>
  </sheetViews>
  <sheetFormatPr defaultRowHeight="14.4" x14ac:dyDescent="0.3"/>
  <cols>
    <col min="1" max="1" width="21.5546875" customWidth="1"/>
    <col min="2" max="4" width="19.44140625" customWidth="1"/>
    <col min="5" max="5" width="10.5546875" bestFit="1" customWidth="1"/>
  </cols>
  <sheetData>
    <row r="1" spans="1:5" ht="15" thickBot="1" x14ac:dyDescent="0.35"/>
    <row r="2" spans="1:5" ht="15" thickBot="1" x14ac:dyDescent="0.35">
      <c r="A2" s="28"/>
      <c r="B2" s="29" t="s">
        <v>47</v>
      </c>
      <c r="C2" s="29" t="s">
        <v>3</v>
      </c>
      <c r="D2" s="30" t="s">
        <v>4</v>
      </c>
    </row>
    <row r="3" spans="1:5" x14ac:dyDescent="0.3">
      <c r="A3" s="31" t="s">
        <v>5</v>
      </c>
      <c r="B3" s="27">
        <v>6083.33</v>
      </c>
      <c r="C3" s="15"/>
      <c r="D3" s="32"/>
    </row>
    <row r="4" spans="1:5" x14ac:dyDescent="0.3">
      <c r="A4" s="31" t="s">
        <v>0</v>
      </c>
      <c r="B4" s="20">
        <f>B3*2.5</f>
        <v>15208.325000000001</v>
      </c>
      <c r="C4" s="21">
        <f>B4*0.6</f>
        <v>9124.9950000000008</v>
      </c>
      <c r="D4" s="33">
        <f>B4-C4</f>
        <v>6083.33</v>
      </c>
    </row>
    <row r="5" spans="1:5" ht="15" thickBot="1" x14ac:dyDescent="0.35">
      <c r="A5" s="34" t="s">
        <v>40</v>
      </c>
      <c r="B5" s="35">
        <v>6</v>
      </c>
      <c r="C5" s="36">
        <v>6</v>
      </c>
      <c r="D5" s="37"/>
    </row>
    <row r="6" spans="1:5" ht="15" thickBot="1" x14ac:dyDescent="0.35">
      <c r="B6" s="1"/>
      <c r="C6" s="1"/>
      <c r="D6" s="1"/>
    </row>
    <row r="7" spans="1:5" ht="15" thickBot="1" x14ac:dyDescent="0.35">
      <c r="A7" s="28"/>
      <c r="B7" s="38"/>
      <c r="C7" s="39" t="s">
        <v>46</v>
      </c>
      <c r="D7" s="40" t="s">
        <v>2</v>
      </c>
    </row>
    <row r="8" spans="1:5" ht="15" thickBot="1" x14ac:dyDescent="0.35">
      <c r="A8" s="34" t="s">
        <v>1</v>
      </c>
      <c r="B8" s="36" t="s">
        <v>29</v>
      </c>
      <c r="C8" s="36">
        <f>C4/C5</f>
        <v>1520.8325000000002</v>
      </c>
      <c r="D8" s="37">
        <f>C8*3</f>
        <v>4562.4975000000004</v>
      </c>
      <c r="E8" s="7" t="s">
        <v>29</v>
      </c>
    </row>
    <row r="9" spans="1:5" ht="15" thickBot="1" x14ac:dyDescent="0.35">
      <c r="B9" s="1"/>
      <c r="C9" s="1"/>
      <c r="D9" s="1"/>
    </row>
    <row r="10" spans="1:5" ht="15" thickBot="1" x14ac:dyDescent="0.35">
      <c r="A10" s="28"/>
      <c r="B10" s="38"/>
      <c r="C10" s="41" t="s">
        <v>46</v>
      </c>
      <c r="D10" s="42" t="s">
        <v>2</v>
      </c>
    </row>
    <row r="11" spans="1:5" x14ac:dyDescent="0.3">
      <c r="A11" s="31" t="s">
        <v>17</v>
      </c>
      <c r="B11" s="21"/>
      <c r="C11" s="21">
        <f>B3</f>
        <v>6083.33</v>
      </c>
      <c r="D11" s="33">
        <f>C11*3</f>
        <v>18249.989999999998</v>
      </c>
    </row>
    <row r="12" spans="1:5" x14ac:dyDescent="0.3">
      <c r="A12" s="31" t="s">
        <v>57</v>
      </c>
      <c r="B12" s="21"/>
      <c r="C12" s="21">
        <f>-C8</f>
        <v>-1520.8325000000002</v>
      </c>
      <c r="D12" s="33">
        <f>-D8</f>
        <v>-4562.4975000000004</v>
      </c>
    </row>
    <row r="13" spans="1:5" x14ac:dyDescent="0.3">
      <c r="A13" s="31" t="s">
        <v>49</v>
      </c>
      <c r="B13" s="21" t="s">
        <v>48</v>
      </c>
      <c r="C13" s="21">
        <v>1000</v>
      </c>
      <c r="D13" s="33">
        <f>C13*3</f>
        <v>3000</v>
      </c>
      <c r="E13" s="7" t="s">
        <v>29</v>
      </c>
    </row>
    <row r="14" spans="1:5" x14ac:dyDescent="0.3">
      <c r="A14" s="31" t="s">
        <v>7</v>
      </c>
      <c r="B14" s="21"/>
      <c r="C14" s="22">
        <f>C11+C12+C13</f>
        <v>5562.4974999999995</v>
      </c>
      <c r="D14" s="43">
        <f>D11+D12+D13</f>
        <v>16687.492499999997</v>
      </c>
      <c r="E14" s="7" t="s">
        <v>29</v>
      </c>
    </row>
    <row r="15" spans="1:5" x14ac:dyDescent="0.3">
      <c r="A15" s="31" t="s">
        <v>6</v>
      </c>
      <c r="B15" s="23">
        <v>0.5</v>
      </c>
      <c r="C15" s="21">
        <f>C14*B15</f>
        <v>2781.2487499999997</v>
      </c>
      <c r="D15" s="33">
        <f>D14/2</f>
        <v>8343.7462499999983</v>
      </c>
    </row>
    <row r="16" spans="1:5" x14ac:dyDescent="0.3">
      <c r="A16" s="31"/>
      <c r="B16" s="15"/>
      <c r="C16" s="15"/>
      <c r="D16" s="32"/>
    </row>
    <row r="17" spans="1:4" ht="15" thickBot="1" x14ac:dyDescent="0.35">
      <c r="A17" s="34" t="s">
        <v>41</v>
      </c>
      <c r="B17" s="44">
        <v>3</v>
      </c>
      <c r="C17" s="45">
        <f>C14/3</f>
        <v>1854.1658333333332</v>
      </c>
      <c r="D17" s="37">
        <f>D15/D14</f>
        <v>0.5</v>
      </c>
    </row>
    <row r="23" spans="1:4" x14ac:dyDescent="0.3">
      <c r="D23" s="7" t="s">
        <v>29</v>
      </c>
    </row>
    <row r="24" spans="1:4" x14ac:dyDescent="0.3">
      <c r="D24" s="7" t="s"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4776-2036-41EE-9756-9B30CBD54F9B}">
  <dimension ref="A1:Q41"/>
  <sheetViews>
    <sheetView zoomScale="120" zoomScaleNormal="120" workbookViewId="0">
      <selection activeCell="J26" sqref="J26"/>
    </sheetView>
  </sheetViews>
  <sheetFormatPr defaultRowHeight="14.4" x14ac:dyDescent="0.3"/>
  <cols>
    <col min="1" max="1" width="28" customWidth="1"/>
    <col min="2" max="3" width="15.109375" customWidth="1"/>
    <col min="4" max="4" width="15.5546875" customWidth="1"/>
    <col min="5" max="5" width="12.5546875" customWidth="1"/>
    <col min="6" max="6" width="5.6640625" customWidth="1"/>
    <col min="7" max="10" width="17.33203125" customWidth="1"/>
    <col min="11" max="12" width="20.6640625" customWidth="1"/>
    <col min="13" max="13" width="12.109375" customWidth="1"/>
    <col min="14" max="14" width="11.88671875" customWidth="1"/>
    <col min="15" max="15" width="10.6640625" customWidth="1"/>
    <col min="16" max="16" width="10.5546875" bestFit="1" customWidth="1"/>
    <col min="17" max="17" width="12.88671875" customWidth="1"/>
  </cols>
  <sheetData>
    <row r="1" spans="1:17" ht="23.4" x14ac:dyDescent="0.45">
      <c r="A1" s="2" t="s">
        <v>8</v>
      </c>
    </row>
    <row r="2" spans="1:17" x14ac:dyDescent="0.3">
      <c r="A2" t="s">
        <v>9</v>
      </c>
    </row>
    <row r="3" spans="1:17" x14ac:dyDescent="0.3">
      <c r="A3" t="s">
        <v>56</v>
      </c>
    </row>
    <row r="5" spans="1:17" x14ac:dyDescent="0.3">
      <c r="A5" t="s">
        <v>10</v>
      </c>
      <c r="B5" s="3">
        <v>10000</v>
      </c>
    </row>
    <row r="6" spans="1:17" x14ac:dyDescent="0.3">
      <c r="A6" t="s">
        <v>11</v>
      </c>
      <c r="B6" s="3" t="e">
        <f>B5*#REF!</f>
        <v>#REF!</v>
      </c>
    </row>
    <row r="7" spans="1:17" x14ac:dyDescent="0.3">
      <c r="A7" s="9" t="s">
        <v>42</v>
      </c>
      <c r="B7" s="10" t="e">
        <f>#REF!</f>
        <v>#REF!</v>
      </c>
      <c r="I7" s="7" t="s">
        <v>29</v>
      </c>
    </row>
    <row r="8" spans="1:17" x14ac:dyDescent="0.3">
      <c r="A8" s="9" t="s">
        <v>43</v>
      </c>
      <c r="B8" s="10">
        <v>3</v>
      </c>
    </row>
    <row r="9" spans="1:17" x14ac:dyDescent="0.3">
      <c r="A9" t="s">
        <v>50</v>
      </c>
      <c r="B9" s="17">
        <v>3000</v>
      </c>
    </row>
    <row r="10" spans="1:17" x14ac:dyDescent="0.3">
      <c r="A10" t="s">
        <v>59</v>
      </c>
      <c r="B10" s="7" t="e">
        <f>B7/B8</f>
        <v>#REF!</v>
      </c>
      <c r="C10" s="7" t="s">
        <v>29</v>
      </c>
    </row>
    <row r="12" spans="1:17" ht="15" thickBot="1" x14ac:dyDescent="0.35">
      <c r="A12" s="24" t="s">
        <v>12</v>
      </c>
      <c r="B12" s="24" t="s">
        <v>13</v>
      </c>
      <c r="C12" s="24" t="s">
        <v>14</v>
      </c>
      <c r="D12" s="24" t="s">
        <v>15</v>
      </c>
      <c r="E12" s="25" t="s">
        <v>16</v>
      </c>
      <c r="F12" s="25" t="s">
        <v>58</v>
      </c>
      <c r="G12" s="24" t="s">
        <v>17</v>
      </c>
      <c r="H12" s="24" t="s">
        <v>51</v>
      </c>
      <c r="I12" s="25" t="s">
        <v>10</v>
      </c>
      <c r="J12" s="25" t="s">
        <v>11</v>
      </c>
      <c r="K12" s="25" t="s">
        <v>60</v>
      </c>
      <c r="L12" s="25" t="s">
        <v>61</v>
      </c>
      <c r="M12" s="24" t="s">
        <v>18</v>
      </c>
      <c r="N12" s="24" t="s">
        <v>19</v>
      </c>
      <c r="O12" s="24" t="s">
        <v>20</v>
      </c>
      <c r="P12" s="24" t="s">
        <v>21</v>
      </c>
      <c r="Q12" s="24" t="s">
        <v>22</v>
      </c>
    </row>
    <row r="13" spans="1:17" x14ac:dyDescent="0.3">
      <c r="A13" s="15" t="s">
        <v>26</v>
      </c>
      <c r="B13" s="11">
        <v>60000</v>
      </c>
      <c r="C13" s="11" t="s">
        <v>24</v>
      </c>
      <c r="D13" s="12">
        <v>44043</v>
      </c>
      <c r="E13" s="13" t="s">
        <v>25</v>
      </c>
      <c r="F13" s="14">
        <v>1</v>
      </c>
      <c r="G13" s="11">
        <f t="shared" ref="G13:G21" si="0">B13/24</f>
        <v>2500</v>
      </c>
      <c r="H13" s="11">
        <f t="shared" ref="H13:H21" si="1">$B$9/$B$8/3</f>
        <v>333.33333333333331</v>
      </c>
      <c r="I13" s="46">
        <f>G13+H13</f>
        <v>2833.3333333333335</v>
      </c>
      <c r="J13" s="47">
        <f>I13*'3Q Assumptions ERCwPPP'!$B$15</f>
        <v>1416.6666666666667</v>
      </c>
      <c r="K13" s="46" t="e">
        <f>B10-I13</f>
        <v>#REF!</v>
      </c>
      <c r="L13" s="46"/>
      <c r="M13" s="11">
        <f t="shared" ref="M13:M21" si="2">G13*0.15</f>
        <v>375</v>
      </c>
      <c r="N13" s="11">
        <f t="shared" ref="N13:N21" si="3">G13*0.062</f>
        <v>155</v>
      </c>
      <c r="O13" s="11">
        <f t="shared" ref="O13:O21" si="4">G13*0.0145</f>
        <v>36.25</v>
      </c>
      <c r="P13" s="11">
        <f t="shared" ref="P13:P21" si="5">G13*0.05</f>
        <v>125</v>
      </c>
      <c r="Q13" s="11">
        <f t="shared" ref="Q13:Q21" si="6">G13-M13-N13-O13-P13</f>
        <v>1808.75</v>
      </c>
    </row>
    <row r="14" spans="1:17" x14ac:dyDescent="0.3">
      <c r="A14" s="15" t="s">
        <v>26</v>
      </c>
      <c r="B14" s="11">
        <v>60000</v>
      </c>
      <c r="C14" s="11" t="s">
        <v>24</v>
      </c>
      <c r="D14" s="12">
        <v>44074</v>
      </c>
      <c r="E14" s="13" t="s">
        <v>44</v>
      </c>
      <c r="F14" s="14">
        <v>1</v>
      </c>
      <c r="G14" s="11">
        <f t="shared" si="0"/>
        <v>2500</v>
      </c>
      <c r="H14" s="11">
        <f t="shared" si="1"/>
        <v>333.33333333333331</v>
      </c>
      <c r="I14" s="46">
        <f>2833.33-104.17</f>
        <v>2729.16</v>
      </c>
      <c r="J14" s="47">
        <f>I14*'3Q Assumptions ERCwPPP'!$B$15</f>
        <v>1364.58</v>
      </c>
      <c r="K14" s="46" t="e">
        <f>K13-I14</f>
        <v>#REF!</v>
      </c>
      <c r="L14" s="46"/>
      <c r="M14" s="11">
        <f t="shared" si="2"/>
        <v>375</v>
      </c>
      <c r="N14" s="11">
        <f t="shared" si="3"/>
        <v>155</v>
      </c>
      <c r="O14" s="11">
        <f t="shared" si="4"/>
        <v>36.25</v>
      </c>
      <c r="P14" s="11">
        <f t="shared" si="5"/>
        <v>125</v>
      </c>
      <c r="Q14" s="11">
        <f t="shared" si="6"/>
        <v>1808.75</v>
      </c>
    </row>
    <row r="15" spans="1:17" x14ac:dyDescent="0.3">
      <c r="A15" s="15" t="s">
        <v>26</v>
      </c>
      <c r="B15" s="11">
        <v>60000</v>
      </c>
      <c r="C15" s="11" t="s">
        <v>24</v>
      </c>
      <c r="D15" s="12">
        <v>44104</v>
      </c>
      <c r="E15" s="13" t="s">
        <v>45</v>
      </c>
      <c r="F15" s="14">
        <v>1</v>
      </c>
      <c r="G15" s="11">
        <f t="shared" si="0"/>
        <v>2500</v>
      </c>
      <c r="H15" s="11">
        <f t="shared" si="1"/>
        <v>333.33333333333331</v>
      </c>
      <c r="I15" s="48">
        <v>0</v>
      </c>
      <c r="J15" s="49">
        <f>I15*'3Q Assumptions ERCwPPP'!$B$15</f>
        <v>0</v>
      </c>
      <c r="K15" s="48" t="e">
        <f>K14-I15</f>
        <v>#REF!</v>
      </c>
      <c r="L15" s="48" t="e">
        <f>B5-B10</f>
        <v>#REF!</v>
      </c>
      <c r="M15" s="11">
        <f t="shared" si="2"/>
        <v>375</v>
      </c>
      <c r="N15" s="11">
        <f t="shared" si="3"/>
        <v>155</v>
      </c>
      <c r="O15" s="11">
        <f t="shared" si="4"/>
        <v>36.25</v>
      </c>
      <c r="P15" s="11">
        <f t="shared" si="5"/>
        <v>125</v>
      </c>
      <c r="Q15" s="11">
        <f t="shared" si="6"/>
        <v>1808.75</v>
      </c>
    </row>
    <row r="16" spans="1:17" x14ac:dyDescent="0.3">
      <c r="A16" s="15" t="s">
        <v>27</v>
      </c>
      <c r="B16" s="11">
        <v>50000</v>
      </c>
      <c r="C16" s="11" t="s">
        <v>24</v>
      </c>
      <c r="D16" s="12">
        <v>44043</v>
      </c>
      <c r="E16" s="13" t="s">
        <v>25</v>
      </c>
      <c r="F16" s="14">
        <v>1</v>
      </c>
      <c r="G16" s="11">
        <f t="shared" si="0"/>
        <v>2083.3333333333335</v>
      </c>
      <c r="H16" s="11">
        <f t="shared" si="1"/>
        <v>333.33333333333331</v>
      </c>
      <c r="I16" s="46">
        <f>G16+H16</f>
        <v>2416.666666666667</v>
      </c>
      <c r="J16" s="47">
        <f>I16*'3Q Assumptions ERCwPPP'!$B$15</f>
        <v>1208.3333333333335</v>
      </c>
      <c r="K16" s="46" t="e">
        <f>B10-I16</f>
        <v>#REF!</v>
      </c>
      <c r="L16" s="46"/>
      <c r="M16" s="11">
        <f t="shared" si="2"/>
        <v>312.5</v>
      </c>
      <c r="N16" s="11">
        <f t="shared" si="3"/>
        <v>129.16666666666669</v>
      </c>
      <c r="O16" s="11">
        <f t="shared" si="4"/>
        <v>30.208333333333336</v>
      </c>
      <c r="P16" s="11">
        <f t="shared" si="5"/>
        <v>104.16666666666669</v>
      </c>
      <c r="Q16" s="11">
        <f t="shared" si="6"/>
        <v>1507.2916666666667</v>
      </c>
    </row>
    <row r="17" spans="1:17" x14ac:dyDescent="0.3">
      <c r="A17" s="15" t="s">
        <v>27</v>
      </c>
      <c r="B17" s="11">
        <v>50000</v>
      </c>
      <c r="C17" s="11" t="s">
        <v>24</v>
      </c>
      <c r="D17" s="12">
        <v>44074</v>
      </c>
      <c r="E17" s="13" t="s">
        <v>44</v>
      </c>
      <c r="F17" s="14">
        <v>1</v>
      </c>
      <c r="G17" s="11">
        <f t="shared" si="0"/>
        <v>2083.3333333333335</v>
      </c>
      <c r="H17" s="11">
        <f t="shared" si="1"/>
        <v>333.33333333333331</v>
      </c>
      <c r="I17" s="46">
        <f>G17+H17</f>
        <v>2416.666666666667</v>
      </c>
      <c r="J17" s="47">
        <f>I17*'3Q Assumptions ERCwPPP'!$B$15</f>
        <v>1208.3333333333335</v>
      </c>
      <c r="K17" s="46" t="e">
        <f>K16-I17</f>
        <v>#REF!</v>
      </c>
      <c r="L17" s="46"/>
      <c r="M17" s="11">
        <f t="shared" si="2"/>
        <v>312.5</v>
      </c>
      <c r="N17" s="11">
        <f t="shared" si="3"/>
        <v>129.16666666666669</v>
      </c>
      <c r="O17" s="11">
        <f t="shared" si="4"/>
        <v>30.208333333333336</v>
      </c>
      <c r="P17" s="11">
        <f t="shared" si="5"/>
        <v>104.16666666666669</v>
      </c>
      <c r="Q17" s="11">
        <f t="shared" si="6"/>
        <v>1507.2916666666667</v>
      </c>
    </row>
    <row r="18" spans="1:17" x14ac:dyDescent="0.3">
      <c r="A18" s="15" t="s">
        <v>27</v>
      </c>
      <c r="B18" s="11">
        <v>50000</v>
      </c>
      <c r="C18" s="11" t="s">
        <v>24</v>
      </c>
      <c r="D18" s="12">
        <v>44104</v>
      </c>
      <c r="E18" s="13" t="s">
        <v>45</v>
      </c>
      <c r="F18" s="14">
        <v>1</v>
      </c>
      <c r="G18" s="11">
        <f t="shared" si="0"/>
        <v>2083.3333333333335</v>
      </c>
      <c r="H18" s="11">
        <f t="shared" si="1"/>
        <v>333.33333333333331</v>
      </c>
      <c r="I18" s="48">
        <v>729.16</v>
      </c>
      <c r="J18" s="49">
        <f>I18*'3Q Assumptions ERCwPPP'!$B$15</f>
        <v>364.58</v>
      </c>
      <c r="K18" s="48" t="e">
        <f>K17-I18</f>
        <v>#REF!</v>
      </c>
      <c r="L18" s="48">
        <v>4437.5</v>
      </c>
      <c r="M18" s="11">
        <f t="shared" si="2"/>
        <v>312.5</v>
      </c>
      <c r="N18" s="11">
        <f t="shared" si="3"/>
        <v>129.16666666666669</v>
      </c>
      <c r="O18" s="11">
        <f t="shared" si="4"/>
        <v>30.208333333333336</v>
      </c>
      <c r="P18" s="11">
        <f t="shared" si="5"/>
        <v>104.16666666666669</v>
      </c>
      <c r="Q18" s="11">
        <f t="shared" si="6"/>
        <v>1507.2916666666667</v>
      </c>
    </row>
    <row r="19" spans="1:17" x14ac:dyDescent="0.3">
      <c r="A19" s="15" t="s">
        <v>23</v>
      </c>
      <c r="B19" s="11">
        <v>36000</v>
      </c>
      <c r="C19" s="11" t="s">
        <v>24</v>
      </c>
      <c r="D19" s="16">
        <v>44043</v>
      </c>
      <c r="E19" s="13" t="s">
        <v>25</v>
      </c>
      <c r="F19" s="14">
        <v>1</v>
      </c>
      <c r="G19" s="11">
        <f t="shared" si="0"/>
        <v>1500</v>
      </c>
      <c r="H19" s="11">
        <f t="shared" si="1"/>
        <v>333.33333333333331</v>
      </c>
      <c r="I19" s="46">
        <f>G19+H19</f>
        <v>1833.3333333333333</v>
      </c>
      <c r="J19" s="47">
        <f>I19*'3Q Assumptions ERCwPPP'!$B$15</f>
        <v>916.66666666666663</v>
      </c>
      <c r="K19" s="46" t="e">
        <f>B10-I19</f>
        <v>#REF!</v>
      </c>
      <c r="L19" s="46"/>
      <c r="M19" s="11">
        <f t="shared" si="2"/>
        <v>225</v>
      </c>
      <c r="N19" s="11">
        <f t="shared" si="3"/>
        <v>93</v>
      </c>
      <c r="O19" s="11">
        <f t="shared" si="4"/>
        <v>21.75</v>
      </c>
      <c r="P19" s="11">
        <f t="shared" si="5"/>
        <v>75</v>
      </c>
      <c r="Q19" s="11">
        <f t="shared" si="6"/>
        <v>1085.25</v>
      </c>
    </row>
    <row r="20" spans="1:17" x14ac:dyDescent="0.3">
      <c r="A20" s="15" t="s">
        <v>23</v>
      </c>
      <c r="B20" s="11">
        <v>36000</v>
      </c>
      <c r="C20" s="11" t="s">
        <v>24</v>
      </c>
      <c r="D20" s="12">
        <v>44074</v>
      </c>
      <c r="E20" s="13" t="s">
        <v>44</v>
      </c>
      <c r="F20" s="14">
        <v>1</v>
      </c>
      <c r="G20" s="11">
        <f t="shared" si="0"/>
        <v>1500</v>
      </c>
      <c r="H20" s="11">
        <f t="shared" si="1"/>
        <v>333.33333333333331</v>
      </c>
      <c r="I20" s="46">
        <v>1833.33</v>
      </c>
      <c r="J20" s="47">
        <f>I20*'3Q Assumptions ERCwPPP'!$B$15</f>
        <v>916.66499999999996</v>
      </c>
      <c r="K20" s="46" t="e">
        <f>B10-I19-I20</f>
        <v>#REF!</v>
      </c>
      <c r="L20" s="46"/>
      <c r="M20" s="11">
        <f t="shared" si="2"/>
        <v>225</v>
      </c>
      <c r="N20" s="11">
        <f t="shared" si="3"/>
        <v>93</v>
      </c>
      <c r="O20" s="11">
        <f t="shared" si="4"/>
        <v>21.75</v>
      </c>
      <c r="P20" s="11">
        <f t="shared" si="5"/>
        <v>75</v>
      </c>
      <c r="Q20" s="11">
        <f t="shared" si="6"/>
        <v>1085.25</v>
      </c>
    </row>
    <row r="21" spans="1:17" x14ac:dyDescent="0.3">
      <c r="A21" s="15" t="s">
        <v>23</v>
      </c>
      <c r="B21" s="11">
        <v>36000</v>
      </c>
      <c r="C21" s="11" t="s">
        <v>24</v>
      </c>
      <c r="D21" s="12">
        <v>44104</v>
      </c>
      <c r="E21" s="13" t="s">
        <v>45</v>
      </c>
      <c r="F21" s="14">
        <v>1</v>
      </c>
      <c r="G21" s="11">
        <f t="shared" si="0"/>
        <v>1500</v>
      </c>
      <c r="H21" s="11">
        <f t="shared" si="1"/>
        <v>333.33333333333331</v>
      </c>
      <c r="I21" s="46">
        <v>1833.33</v>
      </c>
      <c r="J21" s="47">
        <f>I21*'3Q Assumptions ERCwPPP'!$B$15</f>
        <v>916.66499999999996</v>
      </c>
      <c r="K21" s="46" t="e">
        <f>K20-I21</f>
        <v>#REF!</v>
      </c>
      <c r="L21" s="46">
        <f>4437.5+62.5</f>
        <v>4500</v>
      </c>
      <c r="M21" s="11">
        <f t="shared" si="2"/>
        <v>225</v>
      </c>
      <c r="N21" s="11">
        <f t="shared" si="3"/>
        <v>93</v>
      </c>
      <c r="O21" s="11">
        <f t="shared" si="4"/>
        <v>21.75</v>
      </c>
      <c r="P21" s="11">
        <f t="shared" si="5"/>
        <v>75</v>
      </c>
      <c r="Q21" s="11">
        <f t="shared" si="6"/>
        <v>1085.25</v>
      </c>
    </row>
    <row r="22" spans="1:17" x14ac:dyDescent="0.3">
      <c r="A22" s="15"/>
      <c r="B22" s="11"/>
      <c r="C22" s="11"/>
      <c r="D22" s="12"/>
      <c r="E22" s="13"/>
      <c r="F22" s="14"/>
      <c r="G22" s="11"/>
      <c r="H22" s="11"/>
      <c r="I22" s="46"/>
      <c r="J22" s="46"/>
      <c r="K22" s="46"/>
      <c r="L22" s="46"/>
      <c r="M22" s="11"/>
      <c r="N22" s="11"/>
      <c r="O22" s="11"/>
      <c r="P22" s="11"/>
      <c r="Q22" s="11"/>
    </row>
    <row r="23" spans="1:17" ht="15" thickBot="1" x14ac:dyDescent="0.35">
      <c r="A23" s="19" t="s">
        <v>28</v>
      </c>
      <c r="B23" s="19"/>
      <c r="C23" s="19"/>
      <c r="D23" s="19"/>
      <c r="E23" s="26"/>
      <c r="F23" s="26" t="s">
        <v>29</v>
      </c>
      <c r="G23" s="8">
        <f>SUM(G13:G21)</f>
        <v>18250</v>
      </c>
      <c r="H23" s="8">
        <f>SUM(H13:H21)</f>
        <v>3000</v>
      </c>
      <c r="I23" s="8">
        <f t="shared" ref="I23:Q23" si="7">SUM(I13:I21)</f>
        <v>16624.980000000003</v>
      </c>
      <c r="J23" s="8">
        <f t="shared" si="7"/>
        <v>8312.4900000000016</v>
      </c>
      <c r="K23" s="8" t="s">
        <v>29</v>
      </c>
      <c r="L23" s="8" t="e">
        <f t="shared" si="7"/>
        <v>#REF!</v>
      </c>
      <c r="M23" s="8">
        <f t="shared" si="7"/>
        <v>2737.5</v>
      </c>
      <c r="N23" s="8">
        <f t="shared" si="7"/>
        <v>1131.5000000000002</v>
      </c>
      <c r="O23" s="8">
        <f t="shared" si="7"/>
        <v>264.625</v>
      </c>
      <c r="P23" s="8">
        <f t="shared" si="7"/>
        <v>912.5</v>
      </c>
      <c r="Q23" s="8">
        <f t="shared" si="7"/>
        <v>13203.875</v>
      </c>
    </row>
    <row r="24" spans="1:17" ht="15" thickTop="1" x14ac:dyDescent="0.3"/>
    <row r="25" spans="1:17" x14ac:dyDescent="0.3">
      <c r="I25" s="6"/>
    </row>
    <row r="26" spans="1:17" ht="18" x14ac:dyDescent="0.35">
      <c r="A26" s="4" t="s">
        <v>30</v>
      </c>
      <c r="D26" s="5"/>
      <c r="I26" s="6"/>
    </row>
    <row r="28" spans="1:17" x14ac:dyDescent="0.3">
      <c r="A28" t="s">
        <v>31</v>
      </c>
      <c r="B28" s="6">
        <f>G23</f>
        <v>18250</v>
      </c>
    </row>
    <row r="29" spans="1:17" x14ac:dyDescent="0.3">
      <c r="A29" t="s">
        <v>32</v>
      </c>
      <c r="B29" s="6">
        <f>M23</f>
        <v>2737.5</v>
      </c>
    </row>
    <row r="30" spans="1:17" x14ac:dyDescent="0.3">
      <c r="A30" t="s">
        <v>33</v>
      </c>
      <c r="B30" s="6">
        <f>N23*2</f>
        <v>2263.0000000000005</v>
      </c>
      <c r="O30" t="s">
        <v>29</v>
      </c>
    </row>
    <row r="31" spans="1:17" x14ac:dyDescent="0.3">
      <c r="A31" t="s">
        <v>34</v>
      </c>
      <c r="B31" s="6">
        <f>O23*2</f>
        <v>529.25</v>
      </c>
      <c r="I31" s="6"/>
      <c r="O31" t="s">
        <v>29</v>
      </c>
    </row>
    <row r="33" spans="1:3" x14ac:dyDescent="0.3">
      <c r="A33" t="s">
        <v>35</v>
      </c>
      <c r="B33" s="6">
        <f>B29+B30+B31</f>
        <v>5529.75</v>
      </c>
      <c r="C33" t="s">
        <v>55</v>
      </c>
    </row>
    <row r="34" spans="1:3" x14ac:dyDescent="0.3">
      <c r="B34" s="6"/>
    </row>
    <row r="35" spans="1:3" x14ac:dyDescent="0.3">
      <c r="A35" t="s">
        <v>36</v>
      </c>
      <c r="B35" s="6">
        <f>I23</f>
        <v>16624.980000000003</v>
      </c>
      <c r="C35" t="s">
        <v>52</v>
      </c>
    </row>
    <row r="36" spans="1:3" x14ac:dyDescent="0.3">
      <c r="A36" t="s">
        <v>19</v>
      </c>
      <c r="B36" s="6">
        <f>B30</f>
        <v>2263.0000000000005</v>
      </c>
    </row>
    <row r="37" spans="1:3" x14ac:dyDescent="0.3">
      <c r="A37" t="s">
        <v>37</v>
      </c>
      <c r="B37" s="6">
        <f>B36/2</f>
        <v>1131.5000000000002</v>
      </c>
      <c r="C37" t="s">
        <v>53</v>
      </c>
    </row>
    <row r="38" spans="1:3" x14ac:dyDescent="0.3">
      <c r="A38" t="s">
        <v>38</v>
      </c>
      <c r="B38" s="7">
        <f>B39-B37</f>
        <v>7180.9900000000016</v>
      </c>
      <c r="C38" t="s">
        <v>54</v>
      </c>
    </row>
    <row r="39" spans="1:3" ht="16.5" customHeight="1" x14ac:dyDescent="0.3">
      <c r="A39" t="s">
        <v>11</v>
      </c>
      <c r="B39" s="6">
        <f>J23</f>
        <v>8312.4900000000016</v>
      </c>
    </row>
    <row r="40" spans="1:3" ht="15" thickBot="1" x14ac:dyDescent="0.35">
      <c r="A40" t="s">
        <v>39</v>
      </c>
      <c r="B40" s="8">
        <f>B39</f>
        <v>8312.4900000000016</v>
      </c>
    </row>
    <row r="41" spans="1:3" ht="15" thickTop="1" x14ac:dyDescent="0.3">
      <c r="B41" s="18">
        <f>B39/B35</f>
        <v>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3Q Assumptions ERCwPPP</vt:lpstr>
      <vt:lpstr>3Q2020 ERCwPPP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</dc:creator>
  <cp:lastModifiedBy>OPS</cp:lastModifiedBy>
  <cp:lastPrinted>2021-02-01T17:43:30Z</cp:lastPrinted>
  <dcterms:created xsi:type="dcterms:W3CDTF">2021-01-26T19:55:14Z</dcterms:created>
  <dcterms:modified xsi:type="dcterms:W3CDTF">2021-02-07T20:49:30Z</dcterms:modified>
</cp:coreProperties>
</file>